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65" yWindow="300" windowWidth="23565" windowHeight="11565" activeTab="1"/>
  </bookViews>
  <sheets>
    <sheet name="Zoe Verbrauch Winter 0°" sheetId="4" r:id="rId1"/>
    <sheet name="Zoe Verbrauch Sommer 20°" sheetId="5" r:id="rId2"/>
  </sheets>
  <calcPr calcId="125725"/>
</workbook>
</file>

<file path=xl/calcChain.xml><?xml version="1.0" encoding="utf-8"?>
<calcChain xmlns="http://schemas.openxmlformats.org/spreadsheetml/2006/main">
  <c r="K5" i="4"/>
  <c r="E58" i="5"/>
  <c r="E56"/>
  <c r="F14" s="1"/>
  <c r="E45"/>
  <c r="E43"/>
  <c r="E38"/>
  <c r="E35"/>
  <c r="B14" s="1"/>
  <c r="C14" s="1"/>
  <c r="I14"/>
  <c r="H14" s="1"/>
  <c r="D14"/>
  <c r="E14" s="1"/>
  <c r="I13"/>
  <c r="H13" s="1"/>
  <c r="F13"/>
  <c r="D13"/>
  <c r="E13" s="1"/>
  <c r="B13"/>
  <c r="C13" s="1"/>
  <c r="I12"/>
  <c r="H12" s="1"/>
  <c r="D12"/>
  <c r="E12" s="1"/>
  <c r="I11"/>
  <c r="H11" s="1"/>
  <c r="F11"/>
  <c r="D11"/>
  <c r="E11" s="1"/>
  <c r="B11"/>
  <c r="C11" s="1"/>
  <c r="I10"/>
  <c r="H10" s="1"/>
  <c r="D10"/>
  <c r="E10" s="1"/>
  <c r="I9"/>
  <c r="H9" s="1"/>
  <c r="F9"/>
  <c r="D9"/>
  <c r="E9" s="1"/>
  <c r="B9"/>
  <c r="C9" s="1"/>
  <c r="I8"/>
  <c r="H8" s="1"/>
  <c r="D8"/>
  <c r="E8" s="1"/>
  <c r="I7"/>
  <c r="H7" s="1"/>
  <c r="F7"/>
  <c r="D7"/>
  <c r="E7" s="1"/>
  <c r="B7"/>
  <c r="C7" s="1"/>
  <c r="I6"/>
  <c r="H6" s="1"/>
  <c r="D6"/>
  <c r="E6" s="1"/>
  <c r="I5"/>
  <c r="H5" s="1"/>
  <c r="F5"/>
  <c r="D5"/>
  <c r="E5" s="1"/>
  <c r="B5"/>
  <c r="C5" s="1"/>
  <c r="P4"/>
  <c r="N4"/>
  <c r="L4"/>
  <c r="J11" l="1"/>
  <c r="K11" s="1"/>
  <c r="J5"/>
  <c r="J7"/>
  <c r="K7" s="1"/>
  <c r="J14"/>
  <c r="K14" s="1"/>
  <c r="J13"/>
  <c r="J9"/>
  <c r="K9" s="1"/>
  <c r="B6"/>
  <c r="C6" s="1"/>
  <c r="F6"/>
  <c r="B8"/>
  <c r="C8" s="1"/>
  <c r="F8"/>
  <c r="B10"/>
  <c r="C10" s="1"/>
  <c r="F10"/>
  <c r="B12"/>
  <c r="C12" s="1"/>
  <c r="F12"/>
  <c r="B13" i="4"/>
  <c r="E38"/>
  <c r="B5"/>
  <c r="E43"/>
  <c r="E56"/>
  <c r="O13" i="5" l="1"/>
  <c r="P13" s="1"/>
  <c r="K13"/>
  <c r="M5"/>
  <c r="O5"/>
  <c r="K5"/>
  <c r="L5" s="1"/>
  <c r="O14"/>
  <c r="P14" s="1"/>
  <c r="L14"/>
  <c r="M14"/>
  <c r="N14" s="1"/>
  <c r="L13"/>
  <c r="M13"/>
  <c r="N13" s="1"/>
  <c r="M11"/>
  <c r="N11" s="1"/>
  <c r="L11"/>
  <c r="P5"/>
  <c r="N5"/>
  <c r="O11"/>
  <c r="P11" s="1"/>
  <c r="M7"/>
  <c r="N7" s="1"/>
  <c r="L7"/>
  <c r="O7"/>
  <c r="P7" s="1"/>
  <c r="O9"/>
  <c r="P9" s="1"/>
  <c r="L9"/>
  <c r="M9"/>
  <c r="N9" s="1"/>
  <c r="J10"/>
  <c r="K10" s="1"/>
  <c r="J6"/>
  <c r="K6" s="1"/>
  <c r="J12"/>
  <c r="K12" s="1"/>
  <c r="J8"/>
  <c r="K8" s="1"/>
  <c r="E58" i="4"/>
  <c r="F14"/>
  <c r="E45"/>
  <c r="E35"/>
  <c r="B14" s="1"/>
  <c r="C14" s="1"/>
  <c r="I14"/>
  <c r="H14" s="1"/>
  <c r="D14"/>
  <c r="E14" s="1"/>
  <c r="I13"/>
  <c r="H13" s="1"/>
  <c r="D13"/>
  <c r="E13" s="1"/>
  <c r="I12"/>
  <c r="H12" s="1"/>
  <c r="D12"/>
  <c r="E12" s="1"/>
  <c r="I11"/>
  <c r="H11" s="1"/>
  <c r="D11"/>
  <c r="E11" s="1"/>
  <c r="I10"/>
  <c r="H10" s="1"/>
  <c r="D10"/>
  <c r="E10" s="1"/>
  <c r="I9"/>
  <c r="H9" s="1"/>
  <c r="D9"/>
  <c r="E9" s="1"/>
  <c r="I8"/>
  <c r="H8" s="1"/>
  <c r="D8"/>
  <c r="E8" s="1"/>
  <c r="I7"/>
  <c r="H7" s="1"/>
  <c r="D7"/>
  <c r="E7" s="1"/>
  <c r="I6"/>
  <c r="H6" s="1"/>
  <c r="D6"/>
  <c r="E6" s="1"/>
  <c r="I5"/>
  <c r="H5" s="1"/>
  <c r="D5"/>
  <c r="E5" s="1"/>
  <c r="P4"/>
  <c r="N4"/>
  <c r="L4"/>
  <c r="O10" i="5" l="1"/>
  <c r="P10" s="1"/>
  <c r="M10"/>
  <c r="N10" s="1"/>
  <c r="L10"/>
  <c r="M8"/>
  <c r="N8" s="1"/>
  <c r="O8"/>
  <c r="P8" s="1"/>
  <c r="L8"/>
  <c r="M12"/>
  <c r="N12" s="1"/>
  <c r="O12"/>
  <c r="P12" s="1"/>
  <c r="L12"/>
  <c r="O6"/>
  <c r="P6" s="1"/>
  <c r="L6"/>
  <c r="M6"/>
  <c r="N6" s="1"/>
  <c r="C5" i="4"/>
  <c r="B6"/>
  <c r="C6" s="1"/>
  <c r="B7"/>
  <c r="C7" s="1"/>
  <c r="B8"/>
  <c r="C8" s="1"/>
  <c r="B9"/>
  <c r="C9" s="1"/>
  <c r="B10"/>
  <c r="C10" s="1"/>
  <c r="B11"/>
  <c r="C11" s="1"/>
  <c r="B12"/>
  <c r="C12" s="1"/>
  <c r="C13"/>
  <c r="F5"/>
  <c r="J5" s="1"/>
  <c r="F6"/>
  <c r="F7"/>
  <c r="F8"/>
  <c r="F9"/>
  <c r="F10"/>
  <c r="F11"/>
  <c r="F12"/>
  <c r="F13"/>
  <c r="J13" s="1"/>
  <c r="J14"/>
  <c r="K13" l="1"/>
  <c r="L13"/>
  <c r="J12"/>
  <c r="J8"/>
  <c r="L5"/>
  <c r="K14"/>
  <c r="L14"/>
  <c r="J9"/>
  <c r="J6"/>
  <c r="J11"/>
  <c r="J7"/>
  <c r="O13"/>
  <c r="M13"/>
  <c r="N13"/>
  <c r="P13"/>
  <c r="O12"/>
  <c r="P12" s="1"/>
  <c r="M12"/>
  <c r="N12" s="1"/>
  <c r="O8"/>
  <c r="P8" s="1"/>
  <c r="M8"/>
  <c r="N8" s="1"/>
  <c r="M9"/>
  <c r="N9" s="1"/>
  <c r="M5"/>
  <c r="N5" s="1"/>
  <c r="O5"/>
  <c r="P5" s="1"/>
  <c r="O14"/>
  <c r="P14" s="1"/>
  <c r="M14"/>
  <c r="N14" s="1"/>
  <c r="M11"/>
  <c r="N11" s="1"/>
  <c r="O7"/>
  <c r="P7" s="1"/>
  <c r="M7"/>
  <c r="N7"/>
  <c r="J10"/>
  <c r="K10" l="1"/>
  <c r="L10"/>
  <c r="O9"/>
  <c r="P9" s="1"/>
  <c r="K9"/>
  <c r="L9" s="1"/>
  <c r="O6"/>
  <c r="P6" s="1"/>
  <c r="K6"/>
  <c r="L6"/>
  <c r="P11"/>
  <c r="K11"/>
  <c r="L11"/>
  <c r="K12"/>
  <c r="L12"/>
  <c r="K7"/>
  <c r="L7" s="1"/>
  <c r="K8"/>
  <c r="L8" s="1"/>
  <c r="O11"/>
  <c r="M6"/>
  <c r="N6" s="1"/>
  <c r="O10"/>
  <c r="P10" s="1"/>
  <c r="M10"/>
  <c r="N10" s="1"/>
</calcChain>
</file>

<file path=xl/comments1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0,820
20 km/h: 0,845
30 km/h: 0,870
40 km/h: 0,895
50 km/h: 0,920
60 km/h: 0,945
70 km/h: 0,970
80 km/h: 0,970
90 km/h: 0,970
100 km/h: 0,900 
110 km/h: 0,860 
120 km/h: 0,820
130 km/h: 0,770
140 km/h: 0,720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0,820
20 km/h: 0,845
30 km/h: 0,870
40 km/h: 0,895
50 km/h: 0,920
60 km/h: 0,945
70 km/h: 0,970
80 km/h: 0,970
90 km/h: 0,970
100 km/h: 0,900 
110 km/h: 0,860 
120 km/h: 0,820
130 km/h: 0,770
140 km/h: 0,720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sharedStrings.xml><?xml version="1.0" encoding="utf-8"?>
<sst xmlns="http://schemas.openxmlformats.org/spreadsheetml/2006/main" count="184" uniqueCount="83">
  <si>
    <t>Verbrauch</t>
  </si>
  <si>
    <t>Gesamtzeit</t>
  </si>
  <si>
    <t>Grundverbrauch</t>
  </si>
  <si>
    <t>Rollwiderstand</t>
  </si>
  <si>
    <t>Luftwiderstand</t>
  </si>
  <si>
    <t>m²</t>
  </si>
  <si>
    <t>Steigung</t>
  </si>
  <si>
    <t>Gefälle</t>
  </si>
  <si>
    <t>pro Stunde, z.B. Licht, Radio, Heizung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</si>
  <si>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 1/2 * A * p * v² * C</t>
    </r>
    <r>
      <rPr>
        <vertAlign val="subscript"/>
        <sz val="11"/>
        <color theme="1"/>
        <rFont val="Calibri"/>
        <family val="2"/>
        <scheme val="minor"/>
      </rPr>
      <t>W</t>
    </r>
  </si>
  <si>
    <t>A=</t>
  </si>
  <si>
    <t>Stirnfläche</t>
  </si>
  <si>
    <t>p=</t>
  </si>
  <si>
    <t>Dichte der Luft</t>
  </si>
  <si>
    <t>v=</t>
  </si>
  <si>
    <t>Fahrzeuggeschwindigkeit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</si>
  <si>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</si>
  <si>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t>Beiwert</t>
  </si>
  <si>
    <t>Umrechnung vom kg/m in N:</t>
  </si>
  <si>
    <r>
      <t>*10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m² / (12,96*10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</si>
  <si>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=m * g * c</t>
    </r>
    <r>
      <rPr>
        <vertAlign val="subscript"/>
        <sz val="11"/>
        <color theme="1"/>
        <rFont val="Calibri"/>
        <family val="2"/>
        <scheme val="minor"/>
      </rPr>
      <t>R</t>
    </r>
  </si>
  <si>
    <t>m=</t>
  </si>
  <si>
    <t>Fahrzeuggewicht</t>
  </si>
  <si>
    <t>g=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</si>
  <si>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</si>
  <si>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</si>
  <si>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t>Rollwiderstandskoeffizient</t>
  </si>
  <si>
    <t xml:space="preserve">Rollwiderstandskoeffizient </t>
  </si>
  <si>
    <t>In der Formel für Roll- und Luftwiderstand ist enthalten:</t>
  </si>
  <si>
    <t>Umrechnung N in kWh:</t>
  </si>
  <si>
    <r>
      <t>N / 100 * 10</t>
    </r>
    <r>
      <rPr>
        <vertAlign val="superscript"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/ 3600 / 1000</t>
    </r>
  </si>
  <si>
    <t>zusätzlich in kWh berücksichtigt:</t>
  </si>
  <si>
    <t>Stomverbraucher wie Heizung, Licht, Radio als Verbrauch pro Stunde: im Feld Grundverbrauch eingeben</t>
  </si>
  <si>
    <t>Verbrauch für Steigung:</t>
  </si>
  <si>
    <r>
      <t>F=m * g * 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 xml:space="preserve"> /3600000</t>
    </r>
  </si>
  <si>
    <r>
      <t>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>=</t>
    </r>
  </si>
  <si>
    <t>Höhendifferenz in m</t>
  </si>
  <si>
    <t>360000=</t>
  </si>
  <si>
    <t>Umrechenfaktor in kWh</t>
  </si>
  <si>
    <t>Gewinn für Gefälle (nur näherungsweise)</t>
  </si>
  <si>
    <t>Fahrstrecke bis Ladestation</t>
  </si>
  <si>
    <t>Fahrzeit</t>
  </si>
  <si>
    <t>erstellt: W. Huller / 03.06.2016</t>
  </si>
  <si>
    <t>http://www.mx-electronic.com/pdf/Energie_f%C3%BCr_100_km_A.pdf</t>
  </si>
  <si>
    <t>abgerufen 03.06.2016</t>
  </si>
  <si>
    <t xml:space="preserve">Basis für Berechnung Luft- und Rollwiderstand: </t>
  </si>
  <si>
    <t>nach Prof. Dr.-Ing. Peter Marx, Berlin, Okt. 2013</t>
  </si>
  <si>
    <t>(korrigiert gegenüber Angabe Prof. Dr.Ing. Peter Marx, Berlin)</t>
  </si>
  <si>
    <t>Fahrzeuggewicht mit Fahrergewicht</t>
  </si>
  <si>
    <t>(Fahrer im Fahrzeuggewicht enthalten)</t>
  </si>
  <si>
    <t>Verluste im elektrischen Antriebsstrang in %</t>
  </si>
  <si>
    <t>negativer Verbrauch für Steigung mit Faktor</t>
  </si>
  <si>
    <t>Eingabe der Fahrstrecke</t>
  </si>
  <si>
    <t>Wert für energ.effiz.Sommerreifen ca. 0,009 bzw. Winterreifen ca. 0,015 eingeben</t>
  </si>
  <si>
    <t>Abschätzung von Verbrauch nach Geschwindigkeit</t>
  </si>
  <si>
    <t>Bei Verbrauch über der Akkukapazität wird der Wert des Verbrauchs mit blassen Buchstaben angezeigt, Fahrziel ohne Zwischenladen nicht erreichbar:</t>
  </si>
  <si>
    <t>Umwelt- und Verkehrsbedingungen wie Nässe auf der Fahrbahn, Gegenwind, Außentemperatur oder Staus können zu erhöhtem Verbrauch führen!</t>
  </si>
  <si>
    <t>Hinweis: Die Tabelle dient zum Abschätzen der Fahr- und Ladezeit-optimalen Fahrgeschwindigkeit in Abhängigkeit der Ladestärke der Ladestation am Fahrziel.</t>
  </si>
  <si>
    <t xml:space="preserve">Luft-
widerstand </t>
  </si>
  <si>
    <t>Zuschlag An- und Abfahrt</t>
  </si>
  <si>
    <t>Verbrauch wegen Roll- widerstand</t>
  </si>
  <si>
    <t>Verbrauch wegen Steigung / Gefälle</t>
  </si>
  <si>
    <t>zur Ladestation</t>
  </si>
  <si>
    <t>kg incl. Zuladung</t>
  </si>
  <si>
    <t>Eingabe in Stunden, z.B. 0,1 für 6 min.</t>
  </si>
  <si>
    <t>z.B. Anstiegangabe nach goingelectric-Routenplaner</t>
  </si>
  <si>
    <t>z.B. Gefälleangabe nach goingelectric-Routenplaner</t>
  </si>
  <si>
    <t>Grund-verbrauch</t>
  </si>
  <si>
    <t>Verbrauch wegen Luft-widerstand</t>
  </si>
  <si>
    <t>Roll-
widerstand</t>
  </si>
  <si>
    <t>an</t>
  </si>
  <si>
    <t>Ladezeit</t>
  </si>
  <si>
    <t>Gegenwind / Rückenwind</t>
  </si>
  <si>
    <t>Gegenwind als positiven, Rückenwind als negativen Betrag, Windschatten fahren hinter LKW / Bus als Rückenwind ca. -15km/h</t>
  </si>
  <si>
    <t>Zuladung (Mitfahrer+Gepäck)</t>
  </si>
  <si>
    <t>kg/m³ : Werte je nach Außentemperatur korrigieren, z.B.bei 20°C: 1,204; bei 10°C: 1,247; bei 0°C: 1,292</t>
  </si>
  <si>
    <t>Wir-kungs-grad Motor</t>
  </si>
  <si>
    <t>Hinweis: Tabelle nur für Akkuladestand bis 82% entspr. 33 kW gültig! Danach keine lineare Ladezeit an 22kW, Felder werden rot hinterlegt!</t>
  </si>
  <si>
    <t>32,57 kWh</t>
  </si>
  <si>
    <t>43,56 kWh</t>
  </si>
  <si>
    <t>überarbeitet: W. Huller / 22.08.2016 / 16.09.2016 / 15.02.2017 (R90)</t>
  </si>
  <si>
    <t>Renault Zoe Q90</t>
  </si>
  <si>
    <t>überarbeitet: W. Huller / 22.08.2016 / 16.09.2016 / 15.02.2017 (R90) / 04.09.2017 (Q90)</t>
  </si>
</sst>
</file>

<file path=xl/styles.xml><?xml version="1.0" encoding="utf-8"?>
<styleSheet xmlns="http://schemas.openxmlformats.org/spreadsheetml/2006/main">
  <numFmts count="15">
    <numFmt numFmtId="164" formatCode="#,##0.00\ &quot;€&quot;"/>
    <numFmt numFmtId="165" formatCode="#,###\ &quot;N&quot;"/>
    <numFmt numFmtId="166" formatCode="#,##0.00\ &quot;km&quot;"/>
    <numFmt numFmtId="167" formatCode="#,##0.00\ &quot;h&quot;"/>
    <numFmt numFmtId="168" formatCode="#,##0.00\ &quot;kWh&quot;"/>
    <numFmt numFmtId="169" formatCode="#,##0\ &quot;kW&quot;"/>
    <numFmt numFmtId="170" formatCode="#,##0\ &quot;kg&quot;"/>
    <numFmt numFmtId="171" formatCode="#,###.##\ &quot;m/sec2&quot;"/>
    <numFmt numFmtId="172" formatCode="#,##0\ &quot;m&quot;"/>
    <numFmt numFmtId="173" formatCode="#,###.##\ &quot;kWh&quot;"/>
    <numFmt numFmtId="174" formatCode="#,##0.00\ &quot;m&quot;"/>
    <numFmt numFmtId="175" formatCode="0.000"/>
    <numFmt numFmtId="176" formatCode="#,##0.00\ &quot;km/h&quot;"/>
    <numFmt numFmtId="177" formatCode="#,##0.0000\ &quot;€&quot;"/>
    <numFmt numFmtId="178" formatCode="#,##0.000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167" fontId="0" fillId="2" borderId="1" xfId="0" applyNumberFormat="1" applyFill="1" applyBorder="1"/>
    <xf numFmtId="168" fontId="0" fillId="2" borderId="2" xfId="0" applyNumberFormat="1" applyFill="1" applyBorder="1"/>
    <xf numFmtId="167" fontId="0" fillId="2" borderId="3" xfId="0" applyNumberFormat="1" applyFill="1" applyBorder="1"/>
    <xf numFmtId="167" fontId="0" fillId="2" borderId="4" xfId="0" applyNumberFormat="1" applyFill="1" applyBorder="1"/>
    <xf numFmtId="0" fontId="2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173" fontId="0" fillId="2" borderId="0" xfId="0" applyNumberFormat="1" applyFill="1"/>
    <xf numFmtId="0" fontId="6" fillId="2" borderId="0" xfId="1" applyFill="1" applyAlignment="1" applyProtection="1"/>
    <xf numFmtId="169" fontId="2" fillId="2" borderId="3" xfId="0" applyNumberFormat="1" applyFont="1" applyFill="1" applyBorder="1"/>
    <xf numFmtId="169" fontId="2" fillId="2" borderId="4" xfId="0" applyNumberFormat="1" applyFont="1" applyFill="1" applyBorder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166" fontId="0" fillId="2" borderId="0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74" fontId="0" fillId="2" borderId="0" xfId="0" applyNumberFormat="1" applyFill="1" applyBorder="1" applyProtection="1">
      <protection locked="0"/>
    </xf>
    <xf numFmtId="170" fontId="0" fillId="2" borderId="0" xfId="0" applyNumberFormat="1" applyFill="1" applyBorder="1" applyProtection="1">
      <protection locked="0"/>
    </xf>
    <xf numFmtId="175" fontId="0" fillId="2" borderId="0" xfId="0" applyNumberFormat="1" applyFill="1" applyBorder="1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wrapText="1"/>
    </xf>
    <xf numFmtId="168" fontId="0" fillId="2" borderId="1" xfId="0" applyNumberFormat="1" applyFill="1" applyBorder="1"/>
    <xf numFmtId="175" fontId="0" fillId="2" borderId="0" xfId="0" applyNumberFormat="1" applyFill="1"/>
    <xf numFmtId="174" fontId="0" fillId="2" borderId="0" xfId="0" applyNumberFormat="1" applyFill="1"/>
    <xf numFmtId="176" fontId="0" fillId="2" borderId="6" xfId="0" applyNumberFormat="1" applyFill="1" applyBorder="1" applyProtection="1">
      <protection locked="0"/>
    </xf>
    <xf numFmtId="165" fontId="2" fillId="2" borderId="5" xfId="0" applyNumberFormat="1" applyFont="1" applyFill="1" applyBorder="1"/>
    <xf numFmtId="165" fontId="2" fillId="2" borderId="1" xfId="0" applyNumberFormat="1" applyFont="1" applyFill="1" applyBorder="1"/>
    <xf numFmtId="168" fontId="2" fillId="2" borderId="1" xfId="0" applyNumberFormat="1" applyFont="1" applyFill="1" applyBorder="1"/>
    <xf numFmtId="167" fontId="2" fillId="2" borderId="1" xfId="0" applyNumberFormat="1" applyFont="1" applyFill="1" applyBorder="1"/>
    <xf numFmtId="168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4" xfId="0" applyNumberFormat="1" applyFont="1" applyFill="1" applyBorder="1"/>
    <xf numFmtId="177" fontId="0" fillId="0" borderId="0" xfId="0" applyNumberFormat="1"/>
    <xf numFmtId="0" fontId="10" fillId="2" borderId="0" xfId="0" applyFont="1" applyFill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0" fillId="2" borderId="0" xfId="0" applyFill="1" applyAlignment="1"/>
    <xf numFmtId="176" fontId="2" fillId="0" borderId="14" xfId="0" applyNumberFormat="1" applyFont="1" applyFill="1" applyBorder="1" applyProtection="1">
      <protection locked="0"/>
    </xf>
    <xf numFmtId="166" fontId="2" fillId="0" borderId="14" xfId="0" applyNumberFormat="1" applyFont="1" applyFill="1" applyBorder="1" applyProtection="1">
      <protection locked="0"/>
    </xf>
    <xf numFmtId="167" fontId="2" fillId="0" borderId="14" xfId="0" applyNumberFormat="1" applyFont="1" applyFill="1" applyBorder="1"/>
    <xf numFmtId="168" fontId="2" fillId="0" borderId="14" xfId="0" applyNumberFormat="1" applyFont="1" applyFill="1" applyBorder="1" applyProtection="1">
      <protection locked="0"/>
    </xf>
    <xf numFmtId="174" fontId="2" fillId="0" borderId="14" xfId="0" applyNumberFormat="1" applyFont="1" applyFill="1" applyBorder="1" applyProtection="1">
      <protection locked="0"/>
    </xf>
    <xf numFmtId="170" fontId="2" fillId="0" borderId="14" xfId="0" applyNumberFormat="1" applyFont="1" applyFill="1" applyBorder="1" applyProtection="1">
      <protection locked="0"/>
    </xf>
    <xf numFmtId="175" fontId="2" fillId="0" borderId="14" xfId="0" applyNumberFormat="1" applyFont="1" applyFill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78" fontId="0" fillId="2" borderId="1" xfId="0" applyNumberFormat="1" applyFill="1" applyBorder="1"/>
    <xf numFmtId="178" fontId="2" fillId="0" borderId="1" xfId="0" applyNumberFormat="1" applyFont="1" applyFill="1" applyBorder="1"/>
    <xf numFmtId="175" fontId="2" fillId="0" borderId="14" xfId="0" applyNumberFormat="1" applyFont="1" applyFill="1" applyBorder="1"/>
    <xf numFmtId="9" fontId="2" fillId="0" borderId="14" xfId="0" applyNumberFormat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16"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FF99"/>
      <color rgb="FFCCFF99"/>
      <color rgb="FF00FF00"/>
      <color rgb="FF99FF33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opLeftCell="A10" workbookViewId="0">
      <selection activeCell="M6" sqref="M6"/>
    </sheetView>
  </sheetViews>
  <sheetFormatPr baseColWidth="10" defaultRowHeight="1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>
      <c r="A5" s="29">
        <v>50</v>
      </c>
      <c r="B5" s="7">
        <f>ROUND(0.5*E$35*E$36*(A5+C$29)^2*E$38/10000*10^10/(12.96*10^6),0)</f>
        <v>93</v>
      </c>
      <c r="C5" s="31">
        <f>B5/100*10^7/3600/1000*(1+E$49)/100*C$18</f>
        <v>4.6551666666666671</v>
      </c>
      <c r="D5" s="7">
        <f>ROUND((E$43)*E$44*C$27,0)</f>
        <v>229</v>
      </c>
      <c r="E5" s="31">
        <f>D5/100*10^7/3600/1000*(1+E$49)/100*C$18</f>
        <v>11.462722222222222</v>
      </c>
      <c r="F5" s="31">
        <f>+(E$56)*E$57*C$23/3600000*(1+E$49)-(E$56)*E$57*C$24/3600000*E$62*(1+E$49)</f>
        <v>0</v>
      </c>
      <c r="G5" s="63">
        <v>0.92</v>
      </c>
      <c r="H5" s="31">
        <f>$C$21*I5</f>
        <v>6.8</v>
      </c>
      <c r="I5" s="8">
        <f>C$18/A5+C$19</f>
        <v>3.4</v>
      </c>
      <c r="J5" s="9">
        <f>(C5+E5+F5)/G5+H5</f>
        <v>24.319444444444443</v>
      </c>
      <c r="K5" s="10">
        <f>$J5/(K$4-8)</f>
        <v>0.69484126984126982</v>
      </c>
      <c r="L5" s="11">
        <f>IF(J5&gt;33,1000000,$I5+K5)</f>
        <v>4.0948412698412699</v>
      </c>
      <c r="M5" s="10">
        <f>$J5/(M$4-2)</f>
        <v>1.2159722222222222</v>
      </c>
      <c r="N5" s="11">
        <f>IF(J5&gt;33,1000000,$I5+M5)</f>
        <v>4.6159722222222221</v>
      </c>
      <c r="O5" s="10">
        <f>$J5/(O$4-2)</f>
        <v>2.7021604938271602</v>
      </c>
      <c r="P5" s="11">
        <f>IF(J5&gt;33,1000000,$I5+O5)</f>
        <v>6.1021604938271601</v>
      </c>
      <c r="R5" s="1"/>
      <c r="T5" s="2"/>
    </row>
    <row r="6" spans="1:20">
      <c r="A6" s="29">
        <v>60</v>
      </c>
      <c r="B6" s="7">
        <f t="shared" ref="B6:B14" si="0">ROUND(0.5*E$35*E$36*(A6+C$29)^2*E$38/10000*10^10/(12.96*10^6),0)</f>
        <v>134</v>
      </c>
      <c r="C6" s="31">
        <f t="shared" ref="C6:C14" si="1">B6/100*10^7/3600/1000*(1+E$49)/100*C$18</f>
        <v>6.7074444444444445</v>
      </c>
      <c r="D6" s="7">
        <f t="shared" ref="D6:D14" si="2">ROUND((E$43)*E$44*C$27,0)</f>
        <v>229</v>
      </c>
      <c r="E6" s="31">
        <f t="shared" ref="E6:E9" si="3">D6/100*10^7/3600/1000*(1+E$49)/100*C$18</f>
        <v>11.462722222222222</v>
      </c>
      <c r="F6" s="31">
        <f t="shared" ref="F6:F14" si="4">+(E$56)*E$57*C$23/3600000*(1+E$49)-(E$56)*E$57*C$24/3600000*E$62*(1+E$49)</f>
        <v>0</v>
      </c>
      <c r="G6" s="63">
        <v>0.94499999999999995</v>
      </c>
      <c r="H6" s="31">
        <f t="shared" ref="H6:H14" si="5">$C$21*I6</f>
        <v>5.666666666666667</v>
      </c>
      <c r="I6" s="8">
        <f t="shared" ref="I6:I14" si="6">C$18/A6+C$19</f>
        <v>2.8333333333333335</v>
      </c>
      <c r="J6" s="9">
        <f t="shared" ref="J6:J14" si="7">(C6+E6+F6)/G6+H6</f>
        <v>24.894356261022931</v>
      </c>
      <c r="K6" s="10">
        <f t="shared" ref="K6:K14" si="8">$J6/(K$4-8)</f>
        <v>0.71126732174351237</v>
      </c>
      <c r="L6" s="11">
        <f t="shared" ref="L6:L14" si="9">IF(J6&gt;33,1000000,$I6+K6)</f>
        <v>3.5446006550768461</v>
      </c>
      <c r="M6" s="10">
        <f>$J6/(M$4-2)</f>
        <v>1.2447178130511465</v>
      </c>
      <c r="N6" s="11">
        <f t="shared" ref="N6:N14" si="10">IF(J6&gt;33,1000000,$I6+M6)</f>
        <v>4.07805114638448</v>
      </c>
      <c r="O6" s="10">
        <f t="shared" ref="O6:O14" si="11">$J6/(O$4-2)</f>
        <v>2.7660395845581034</v>
      </c>
      <c r="P6" s="11">
        <f t="shared" ref="P6:P14" si="12">IF(J6&gt;33,1000000,$I6+O6)</f>
        <v>5.5993729178914364</v>
      </c>
      <c r="R6" s="1"/>
      <c r="T6" s="2"/>
    </row>
    <row r="7" spans="1:20">
      <c r="A7" s="29">
        <v>70</v>
      </c>
      <c r="B7" s="7">
        <f t="shared" si="0"/>
        <v>182</v>
      </c>
      <c r="C7" s="31">
        <f t="shared" si="1"/>
        <v>9.1101111111111113</v>
      </c>
      <c r="D7" s="7">
        <f t="shared" si="2"/>
        <v>229</v>
      </c>
      <c r="E7" s="31">
        <f t="shared" si="3"/>
        <v>11.462722222222222</v>
      </c>
      <c r="F7" s="31">
        <f t="shared" si="4"/>
        <v>0</v>
      </c>
      <c r="G7" s="63">
        <v>0.97</v>
      </c>
      <c r="H7" s="31">
        <f t="shared" si="5"/>
        <v>4.8571428571428568</v>
      </c>
      <c r="I7" s="8">
        <f t="shared" si="6"/>
        <v>2.4285714285714284</v>
      </c>
      <c r="J7" s="9">
        <f t="shared" si="7"/>
        <v>26.066249386352482</v>
      </c>
      <c r="K7" s="10">
        <f t="shared" si="8"/>
        <v>0.7447499824672138</v>
      </c>
      <c r="L7" s="11">
        <f t="shared" si="9"/>
        <v>3.1733214110386423</v>
      </c>
      <c r="M7" s="10">
        <f>$J7/(M$4-2)</f>
        <v>1.3033124693176241</v>
      </c>
      <c r="N7" s="11">
        <f t="shared" si="10"/>
        <v>3.7318838978890527</v>
      </c>
      <c r="O7" s="10">
        <f t="shared" si="11"/>
        <v>2.8962499318169423</v>
      </c>
      <c r="P7" s="11">
        <f t="shared" si="12"/>
        <v>5.3248213603883707</v>
      </c>
      <c r="R7" s="1"/>
      <c r="T7" s="2"/>
    </row>
    <row r="8" spans="1:20">
      <c r="A8" s="29">
        <v>80</v>
      </c>
      <c r="B8" s="7">
        <f t="shared" si="0"/>
        <v>238</v>
      </c>
      <c r="C8" s="31">
        <f t="shared" si="1"/>
        <v>11.913222222222226</v>
      </c>
      <c r="D8" s="7">
        <f t="shared" si="2"/>
        <v>229</v>
      </c>
      <c r="E8" s="31">
        <f t="shared" si="3"/>
        <v>11.462722222222222</v>
      </c>
      <c r="F8" s="31">
        <f t="shared" si="4"/>
        <v>0</v>
      </c>
      <c r="G8" s="63">
        <v>0.97</v>
      </c>
      <c r="H8" s="31">
        <f t="shared" si="5"/>
        <v>4.25</v>
      </c>
      <c r="I8" s="8">
        <f t="shared" si="6"/>
        <v>2.125</v>
      </c>
      <c r="J8" s="9">
        <f t="shared" si="7"/>
        <v>28.34891179839634</v>
      </c>
      <c r="K8" s="10">
        <f t="shared" si="8"/>
        <v>0.80996890852560977</v>
      </c>
      <c r="L8" s="11">
        <f t="shared" si="9"/>
        <v>2.9349689085256099</v>
      </c>
      <c r="M8" s="10">
        <f>$J8/(M$4-2)</f>
        <v>1.4174455899198171</v>
      </c>
      <c r="N8" s="11">
        <f t="shared" si="10"/>
        <v>3.5424455899198168</v>
      </c>
      <c r="O8" s="10">
        <f t="shared" si="11"/>
        <v>3.1498790887107044</v>
      </c>
      <c r="P8" s="11">
        <f t="shared" si="12"/>
        <v>5.2748790887107049</v>
      </c>
      <c r="R8" s="1"/>
      <c r="T8" s="2"/>
    </row>
    <row r="9" spans="1:20">
      <c r="A9" s="29">
        <v>90</v>
      </c>
      <c r="B9" s="7">
        <f t="shared" si="0"/>
        <v>302</v>
      </c>
      <c r="C9" s="31">
        <f t="shared" si="1"/>
        <v>15.116777777777781</v>
      </c>
      <c r="D9" s="7">
        <f t="shared" si="2"/>
        <v>229</v>
      </c>
      <c r="E9" s="31">
        <f t="shared" si="3"/>
        <v>11.462722222222222</v>
      </c>
      <c r="F9" s="31">
        <f t="shared" si="4"/>
        <v>0</v>
      </c>
      <c r="G9" s="63">
        <v>0.97</v>
      </c>
      <c r="H9" s="31">
        <f t="shared" si="5"/>
        <v>3.7777777777777777</v>
      </c>
      <c r="I9" s="8">
        <f t="shared" si="6"/>
        <v>1.8888888888888888</v>
      </c>
      <c r="J9" s="9">
        <f t="shared" si="7"/>
        <v>31.179324169530361</v>
      </c>
      <c r="K9" s="10">
        <f t="shared" si="8"/>
        <v>0.89083783341515321</v>
      </c>
      <c r="L9" s="11">
        <f t="shared" si="9"/>
        <v>2.7797267223040421</v>
      </c>
      <c r="M9" s="10">
        <f t="shared" ref="M9:M14" si="13">$J9/(M$4-2)</f>
        <v>1.5589662084765181</v>
      </c>
      <c r="N9" s="11">
        <f t="shared" si="10"/>
        <v>3.447855097365407</v>
      </c>
      <c r="O9" s="10">
        <f t="shared" si="11"/>
        <v>3.4643693521700403</v>
      </c>
      <c r="P9" s="11">
        <f t="shared" si="12"/>
        <v>5.3532582410589296</v>
      </c>
      <c r="R9" s="1"/>
      <c r="T9" s="2"/>
    </row>
    <row r="10" spans="1:20">
      <c r="A10" s="29">
        <v>100</v>
      </c>
      <c r="B10" s="7">
        <f t="shared" si="0"/>
        <v>372</v>
      </c>
      <c r="C10" s="31">
        <f>B10/100*10^7/3600/1000*(1+E$49)/100*C$18</f>
        <v>18.620666666666668</v>
      </c>
      <c r="D10" s="7">
        <f t="shared" si="2"/>
        <v>229</v>
      </c>
      <c r="E10" s="31">
        <f>D10/100*10^7/3600/1000*(1+E$49)/100*C$18</f>
        <v>11.462722222222222</v>
      </c>
      <c r="F10" s="31">
        <f t="shared" si="4"/>
        <v>0</v>
      </c>
      <c r="G10" s="63">
        <v>0.9</v>
      </c>
      <c r="H10" s="31">
        <f t="shared" si="5"/>
        <v>3.4</v>
      </c>
      <c r="I10" s="8">
        <f t="shared" si="6"/>
        <v>1.7</v>
      </c>
      <c r="J10" s="9">
        <f t="shared" si="7"/>
        <v>36.82598765432099</v>
      </c>
      <c r="K10" s="10">
        <f t="shared" si="8"/>
        <v>1.0521710758377425</v>
      </c>
      <c r="L10" s="11">
        <f t="shared" si="9"/>
        <v>1000000</v>
      </c>
      <c r="M10" s="10">
        <f t="shared" si="13"/>
        <v>1.8412993827160495</v>
      </c>
      <c r="N10" s="11">
        <f t="shared" si="10"/>
        <v>1000000</v>
      </c>
      <c r="O10" s="10">
        <f t="shared" si="11"/>
        <v>4.0917764060356658</v>
      </c>
      <c r="P10" s="11">
        <f t="shared" si="12"/>
        <v>1000000</v>
      </c>
      <c r="R10" s="1"/>
      <c r="T10" s="2"/>
    </row>
    <row r="11" spans="1:20">
      <c r="A11" s="29">
        <v>110</v>
      </c>
      <c r="B11" s="7">
        <f t="shared" si="0"/>
        <v>450</v>
      </c>
      <c r="C11" s="31">
        <f t="shared" si="1"/>
        <v>22.525000000000002</v>
      </c>
      <c r="D11" s="7">
        <f t="shared" si="2"/>
        <v>229</v>
      </c>
      <c r="E11" s="31">
        <f t="shared" ref="E11:E14" si="14">D11/100*10^7/3600/1000*(1+E$49)/100*C$18</f>
        <v>11.462722222222222</v>
      </c>
      <c r="F11" s="31">
        <f t="shared" si="4"/>
        <v>0</v>
      </c>
      <c r="G11" s="63">
        <v>0.86</v>
      </c>
      <c r="H11" s="31">
        <f t="shared" si="5"/>
        <v>3.0909090909090908</v>
      </c>
      <c r="I11" s="8">
        <f t="shared" si="6"/>
        <v>1.5454545454545454</v>
      </c>
      <c r="J11" s="9">
        <f t="shared" si="7"/>
        <v>42.611516326051216</v>
      </c>
      <c r="K11" s="10">
        <f t="shared" si="8"/>
        <v>1.2174718950300347</v>
      </c>
      <c r="L11" s="11">
        <f t="shared" si="9"/>
        <v>1000000</v>
      </c>
      <c r="M11" s="10">
        <f t="shared" si="13"/>
        <v>2.130575816302561</v>
      </c>
      <c r="N11" s="11">
        <f t="shared" si="10"/>
        <v>1000000</v>
      </c>
      <c r="O11" s="10">
        <f t="shared" si="11"/>
        <v>4.7346129251168021</v>
      </c>
      <c r="P11" s="11">
        <f t="shared" si="12"/>
        <v>1000000</v>
      </c>
      <c r="R11" s="1"/>
      <c r="T11" s="2"/>
    </row>
    <row r="12" spans="1:20">
      <c r="A12" s="29">
        <v>120</v>
      </c>
      <c r="B12" s="7">
        <f t="shared" si="0"/>
        <v>536</v>
      </c>
      <c r="C12" s="31">
        <f t="shared" si="1"/>
        <v>26.829777777777778</v>
      </c>
      <c r="D12" s="7">
        <f t="shared" si="2"/>
        <v>229</v>
      </c>
      <c r="E12" s="31">
        <f t="shared" si="14"/>
        <v>11.462722222222222</v>
      </c>
      <c r="F12" s="31">
        <f t="shared" si="4"/>
        <v>0</v>
      </c>
      <c r="G12" s="63">
        <v>0.82</v>
      </c>
      <c r="H12" s="31">
        <f t="shared" si="5"/>
        <v>2.8333333333333335</v>
      </c>
      <c r="I12" s="8">
        <f t="shared" si="6"/>
        <v>1.4166666666666667</v>
      </c>
      <c r="J12" s="9">
        <f t="shared" si="7"/>
        <v>49.531504065040657</v>
      </c>
      <c r="K12" s="10">
        <f t="shared" si="8"/>
        <v>1.4151858304297331</v>
      </c>
      <c r="L12" s="11">
        <f t="shared" si="9"/>
        <v>1000000</v>
      </c>
      <c r="M12" s="10">
        <f t="shared" si="13"/>
        <v>2.476575203252033</v>
      </c>
      <c r="N12" s="11">
        <f t="shared" si="10"/>
        <v>1000000</v>
      </c>
      <c r="O12" s="10">
        <f t="shared" si="11"/>
        <v>5.5035004516711838</v>
      </c>
      <c r="P12" s="11">
        <f t="shared" si="12"/>
        <v>1000000</v>
      </c>
      <c r="R12" s="1"/>
      <c r="T12" s="2"/>
    </row>
    <row r="13" spans="1:20" ht="15.75" thickBot="1">
      <c r="A13" s="34">
        <v>135</v>
      </c>
      <c r="B13" s="7">
        <f>ROUND(0.5*E$35*E$36*(A13+C$29)^2*E$38/10000*10^10/(12.96*10^6),0)</f>
        <v>678</v>
      </c>
      <c r="C13" s="31">
        <f t="shared" si="1"/>
        <v>33.937666666666672</v>
      </c>
      <c r="D13" s="7">
        <f t="shared" si="2"/>
        <v>229</v>
      </c>
      <c r="E13" s="31">
        <f t="shared" si="14"/>
        <v>11.462722222222222</v>
      </c>
      <c r="F13" s="31">
        <f t="shared" si="4"/>
        <v>0</v>
      </c>
      <c r="G13" s="63">
        <v>0.75</v>
      </c>
      <c r="H13" s="31">
        <f t="shared" si="5"/>
        <v>2.5185185185185186</v>
      </c>
      <c r="I13" s="8">
        <f t="shared" si="6"/>
        <v>1.2592592592592593</v>
      </c>
      <c r="J13" s="9">
        <f t="shared" si="7"/>
        <v>63.052370370370383</v>
      </c>
      <c r="K13" s="10">
        <f t="shared" si="8"/>
        <v>1.8014962962962966</v>
      </c>
      <c r="L13" s="11">
        <f t="shared" si="9"/>
        <v>1000000</v>
      </c>
      <c r="M13" s="10">
        <f>$J13/(M$4-2)</f>
        <v>3.1526185185185192</v>
      </c>
      <c r="N13" s="11">
        <f t="shared" si="10"/>
        <v>1000000</v>
      </c>
      <c r="O13" s="10">
        <f t="shared" si="11"/>
        <v>7.005818930041154</v>
      </c>
      <c r="P13" s="11">
        <f t="shared" si="12"/>
        <v>1000000</v>
      </c>
      <c r="R13" s="1"/>
      <c r="T13" s="2"/>
    </row>
    <row r="14" spans="1:20" ht="15.75" thickBot="1">
      <c r="A14" s="55">
        <v>96</v>
      </c>
      <c r="B14" s="35">
        <f t="shared" si="0"/>
        <v>343</v>
      </c>
      <c r="C14" s="37">
        <f t="shared" si="1"/>
        <v>17.169055555555556</v>
      </c>
      <c r="D14" s="36">
        <f t="shared" si="2"/>
        <v>229</v>
      </c>
      <c r="E14" s="37">
        <f t="shared" si="14"/>
        <v>11.462722222222222</v>
      </c>
      <c r="F14" s="37">
        <f t="shared" si="4"/>
        <v>0</v>
      </c>
      <c r="G14" s="64">
        <v>0.95</v>
      </c>
      <c r="H14" s="37">
        <f t="shared" si="5"/>
        <v>3.5416666666666665</v>
      </c>
      <c r="I14" s="38">
        <f t="shared" si="6"/>
        <v>1.7708333333333333</v>
      </c>
      <c r="J14" s="39">
        <f t="shared" si="7"/>
        <v>33.680380116959064</v>
      </c>
      <c r="K14" s="40">
        <f t="shared" si="8"/>
        <v>0.96229657477025898</v>
      </c>
      <c r="L14" s="11">
        <f t="shared" si="9"/>
        <v>1000000</v>
      </c>
      <c r="M14" s="40">
        <f t="shared" si="13"/>
        <v>1.6840190058479532</v>
      </c>
      <c r="N14" s="41">
        <f t="shared" si="10"/>
        <v>1000000</v>
      </c>
      <c r="O14" s="40">
        <f t="shared" si="11"/>
        <v>3.7422644574398962</v>
      </c>
      <c r="P14" s="41">
        <f t="shared" si="12"/>
        <v>1000000</v>
      </c>
      <c r="R14" s="1"/>
      <c r="T14" s="2"/>
    </row>
    <row r="15" spans="1:20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4" t="s">
        <v>40</v>
      </c>
      <c r="B18" s="4"/>
      <c r="C18" s="56">
        <v>170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4" t="s">
        <v>2</v>
      </c>
      <c r="B21" s="4"/>
      <c r="C21" s="58">
        <v>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4" t="s">
        <v>27</v>
      </c>
      <c r="B27" s="4"/>
      <c r="C27" s="61">
        <v>1.4999999999999999E-2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4" t="s">
        <v>12</v>
      </c>
      <c r="B36" s="4" t="s">
        <v>13</v>
      </c>
      <c r="C36" s="4"/>
      <c r="D36" s="4"/>
      <c r="E36" s="65">
        <v>1.292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>
      <c r="A45" s="4" t="s">
        <v>25</v>
      </c>
      <c r="B45" s="4" t="s">
        <v>26</v>
      </c>
      <c r="C45" s="4"/>
      <c r="D45" s="4"/>
      <c r="E45" s="32">
        <f>C27</f>
        <v>1.4999999999999999E-2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4" t="s">
        <v>50</v>
      </c>
      <c r="B49" s="4"/>
      <c r="C49" s="4"/>
      <c r="D49" s="4"/>
      <c r="E49" s="66">
        <v>0.06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4" t="s">
        <v>82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15" priority="7" operator="greaterThan">
      <formula>31</formula>
    </cfRule>
  </conditionalFormatting>
  <conditionalFormatting sqref="J5:J14">
    <cfRule type="cellIs" dxfId="14" priority="8" operator="greaterThan">
      <formula>41</formula>
    </cfRule>
  </conditionalFormatting>
  <conditionalFormatting sqref="L5:L14">
    <cfRule type="top10" dxfId="13" priority="5" bottom="1" rank="1"/>
    <cfRule type="top10" dxfId="12" priority="6" bottom="1" rank="3"/>
  </conditionalFormatting>
  <conditionalFormatting sqref="N5:N14">
    <cfRule type="top10" dxfId="11" priority="3" bottom="1" rank="1"/>
    <cfRule type="top10" dxfId="10" priority="4" bottom="1" rank="3"/>
  </conditionalFormatting>
  <conditionalFormatting sqref="P5:P14">
    <cfRule type="top10" dxfId="9" priority="1" bottom="1" rank="1"/>
    <cfRule type="top10" dxfId="8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selection activeCell="H18" sqref="H18"/>
    </sheetView>
  </sheetViews>
  <sheetFormatPr baseColWidth="10" defaultRowHeight="1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>
      <c r="A5" s="29">
        <v>50</v>
      </c>
      <c r="B5" s="7">
        <f>ROUND(0.5*E$35*E$36*(A5+C$29)^2*E$38/10000*10^10/(12.96*10^6),0)</f>
        <v>87</v>
      </c>
      <c r="C5" s="31">
        <f>B5/100*10^7/3600/1000*(1+E$49)/100*C$18</f>
        <v>4.93</v>
      </c>
      <c r="D5" s="7">
        <f>ROUND((E$43)*E$44*C$27,0)</f>
        <v>137</v>
      </c>
      <c r="E5" s="31">
        <f>D5/100*10^7/3600/1000*(1+E$49)/100*C$18</f>
        <v>7.7633333333333345</v>
      </c>
      <c r="F5" s="31">
        <f>+(E$56)*E$57*C$23/3600000*(1+E$49)-(E$56)*E$57*C$24/3600000*E$62*(1+E$49)</f>
        <v>0</v>
      </c>
      <c r="G5" s="63">
        <v>0.92</v>
      </c>
      <c r="H5" s="31">
        <f>$C$21*I5</f>
        <v>0.8</v>
      </c>
      <c r="I5" s="8">
        <f>C$18/A5+C$19</f>
        <v>4</v>
      </c>
      <c r="J5" s="9">
        <f>(C5+E5+F5)/G5+H5</f>
        <v>14.597101449275364</v>
      </c>
      <c r="K5" s="10">
        <f>$J5/(K$4-8)</f>
        <v>0.41706004140786757</v>
      </c>
      <c r="L5" s="11">
        <f t="shared" ref="L5:L9" si="0">IF(J5&gt;33,1000000,$I5+K5)</f>
        <v>4.4170600414078676</v>
      </c>
      <c r="M5" s="10">
        <f>$J5/(M$4-2)</f>
        <v>0.72985507246376824</v>
      </c>
      <c r="N5" s="11">
        <f>IF(J5&gt;33,1000000,$I5+M5)</f>
        <v>4.729855072463768</v>
      </c>
      <c r="O5" s="10">
        <f>$J5/(O$4-2)</f>
        <v>1.6219001610305961</v>
      </c>
      <c r="P5" s="11">
        <f>IF(J5&gt;33,1000000,$I5+O5)</f>
        <v>5.6219001610305961</v>
      </c>
      <c r="R5" s="1"/>
      <c r="T5" s="2"/>
    </row>
    <row r="6" spans="1:20">
      <c r="A6" s="29">
        <v>60</v>
      </c>
      <c r="B6" s="7">
        <f t="shared" ref="B6:B14" si="1">ROUND(0.5*E$35*E$36*(A6+C$29)^2*E$38/10000*10^10/(12.96*10^6),0)</f>
        <v>125</v>
      </c>
      <c r="C6" s="31">
        <f t="shared" ref="C6:C14" si="2">B6/100*10^7/3600/1000*(1+E$49)/100*C$18</f>
        <v>7.0833333333333348</v>
      </c>
      <c r="D6" s="7">
        <f t="shared" ref="D6:D14" si="3">ROUND((E$43)*E$44*C$27,0)</f>
        <v>137</v>
      </c>
      <c r="E6" s="31">
        <f t="shared" ref="E6:E9" si="4">D6/100*10^7/3600/1000*(1+E$49)/100*C$18</f>
        <v>7.7633333333333345</v>
      </c>
      <c r="F6" s="31">
        <f t="shared" ref="F6:F14" si="5">+(E$56)*E$57*C$23/3600000*(1+E$49)-(E$56)*E$57*C$24/3600000*E$62*(1+E$49)</f>
        <v>0</v>
      </c>
      <c r="G6" s="63">
        <v>0.94499999999999995</v>
      </c>
      <c r="H6" s="31">
        <f t="shared" ref="H6:H14" si="6">$C$21*I6</f>
        <v>0.66666666666666674</v>
      </c>
      <c r="I6" s="8">
        <f t="shared" ref="I6:I14" si="7">C$18/A6+C$19</f>
        <v>3.3333333333333335</v>
      </c>
      <c r="J6" s="9">
        <f t="shared" ref="J6:J14" si="8">(C6+E6+F6)/G6+H6</f>
        <v>16.377425044091716</v>
      </c>
      <c r="K6" s="10">
        <f>$J6/(K$4-8)</f>
        <v>0.46792642983119187</v>
      </c>
      <c r="L6" s="11">
        <f t="shared" si="0"/>
        <v>3.8012597631645253</v>
      </c>
      <c r="M6" s="10">
        <f>$J6/(M$4-2)</f>
        <v>0.81887125220458579</v>
      </c>
      <c r="N6" s="11">
        <f t="shared" ref="N6:N14" si="9">IF(J6&gt;33,1000000,$I6+M6)</f>
        <v>4.1522045855379197</v>
      </c>
      <c r="O6" s="10">
        <f t="shared" ref="O6:O14" si="10">$J6/(O$4-2)</f>
        <v>1.8197138937879684</v>
      </c>
      <c r="P6" s="11">
        <f t="shared" ref="P6:P14" si="11">IF(J6&gt;33,1000000,$I6+O6)</f>
        <v>5.1530472271213021</v>
      </c>
      <c r="R6" s="1"/>
      <c r="T6" s="2"/>
    </row>
    <row r="7" spans="1:20">
      <c r="A7" s="29">
        <v>70</v>
      </c>
      <c r="B7" s="7">
        <f t="shared" si="1"/>
        <v>170</v>
      </c>
      <c r="C7" s="31">
        <f t="shared" si="2"/>
        <v>9.6333333333333329</v>
      </c>
      <c r="D7" s="7">
        <f t="shared" si="3"/>
        <v>137</v>
      </c>
      <c r="E7" s="31">
        <f t="shared" si="4"/>
        <v>7.7633333333333345</v>
      </c>
      <c r="F7" s="31">
        <f t="shared" si="5"/>
        <v>0</v>
      </c>
      <c r="G7" s="63">
        <v>0.97</v>
      </c>
      <c r="H7" s="31">
        <f t="shared" si="6"/>
        <v>0.57142857142857151</v>
      </c>
      <c r="I7" s="8">
        <f t="shared" si="7"/>
        <v>2.8571428571428572</v>
      </c>
      <c r="J7" s="9">
        <f t="shared" si="8"/>
        <v>18.506136475208645</v>
      </c>
      <c r="K7" s="10">
        <f t="shared" ref="K7:K14" si="12">$J7/(K$4-8)</f>
        <v>0.52874675643453273</v>
      </c>
      <c r="L7" s="11">
        <f t="shared" si="0"/>
        <v>3.3858896135773899</v>
      </c>
      <c r="M7" s="10">
        <f>$J7/(M$4-2)</f>
        <v>0.92530682376043227</v>
      </c>
      <c r="N7" s="11">
        <f t="shared" si="9"/>
        <v>3.7824496809032895</v>
      </c>
      <c r="O7" s="10">
        <f t="shared" si="10"/>
        <v>2.0562373861342937</v>
      </c>
      <c r="P7" s="11">
        <f t="shared" si="11"/>
        <v>4.9133802432771514</v>
      </c>
      <c r="R7" s="1"/>
      <c r="T7" s="2"/>
    </row>
    <row r="8" spans="1:20">
      <c r="A8" s="29">
        <v>80</v>
      </c>
      <c r="B8" s="7">
        <f t="shared" si="1"/>
        <v>222</v>
      </c>
      <c r="C8" s="31">
        <f t="shared" si="2"/>
        <v>12.580000000000002</v>
      </c>
      <c r="D8" s="7">
        <f t="shared" si="3"/>
        <v>137</v>
      </c>
      <c r="E8" s="31">
        <f t="shared" si="4"/>
        <v>7.7633333333333345</v>
      </c>
      <c r="F8" s="31">
        <f t="shared" si="5"/>
        <v>0</v>
      </c>
      <c r="G8" s="63">
        <v>0.97</v>
      </c>
      <c r="H8" s="31">
        <f t="shared" si="6"/>
        <v>0.5</v>
      </c>
      <c r="I8" s="8">
        <f t="shared" si="7"/>
        <v>2.5</v>
      </c>
      <c r="J8" s="9">
        <f t="shared" si="8"/>
        <v>21.472508591065296</v>
      </c>
      <c r="K8" s="10">
        <f t="shared" si="12"/>
        <v>0.6135002454590085</v>
      </c>
      <c r="L8" s="11">
        <f t="shared" si="0"/>
        <v>3.1135002454590084</v>
      </c>
      <c r="M8" s="10">
        <f>$J8/(M$4-2)</f>
        <v>1.0736254295532648</v>
      </c>
      <c r="N8" s="11">
        <f t="shared" si="9"/>
        <v>3.5736254295532648</v>
      </c>
      <c r="O8" s="10">
        <f t="shared" si="10"/>
        <v>2.3858342878961438</v>
      </c>
      <c r="P8" s="11">
        <f t="shared" si="11"/>
        <v>4.8858342878961434</v>
      </c>
      <c r="R8" s="1"/>
      <c r="T8" s="2"/>
    </row>
    <row r="9" spans="1:20">
      <c r="A9" s="29">
        <v>90</v>
      </c>
      <c r="B9" s="7">
        <f t="shared" si="1"/>
        <v>281</v>
      </c>
      <c r="C9" s="31">
        <f t="shared" si="2"/>
        <v>15.923333333333334</v>
      </c>
      <c r="D9" s="7">
        <f t="shared" si="3"/>
        <v>137</v>
      </c>
      <c r="E9" s="31">
        <f t="shared" si="4"/>
        <v>7.7633333333333345</v>
      </c>
      <c r="F9" s="31">
        <f t="shared" si="5"/>
        <v>0</v>
      </c>
      <c r="G9" s="63">
        <v>0.97</v>
      </c>
      <c r="H9" s="31">
        <f t="shared" si="6"/>
        <v>0.44444444444444448</v>
      </c>
      <c r="I9" s="8">
        <f t="shared" si="7"/>
        <v>2.2222222222222223</v>
      </c>
      <c r="J9" s="9">
        <f t="shared" si="8"/>
        <v>24.86368843069874</v>
      </c>
      <c r="K9" s="10">
        <f t="shared" si="12"/>
        <v>0.71039109801996403</v>
      </c>
      <c r="L9" s="11">
        <f t="shared" si="0"/>
        <v>2.9326133202421865</v>
      </c>
      <c r="M9" s="10">
        <f t="shared" ref="M9:M14" si="13">$J9/(M$4-2)</f>
        <v>1.243184421534937</v>
      </c>
      <c r="N9" s="11">
        <f t="shared" si="9"/>
        <v>3.4654066437571593</v>
      </c>
      <c r="O9" s="10">
        <f t="shared" si="10"/>
        <v>2.7626320478554156</v>
      </c>
      <c r="P9" s="11">
        <f t="shared" si="11"/>
        <v>4.9848542700776379</v>
      </c>
      <c r="R9" s="1"/>
      <c r="T9" s="2"/>
    </row>
    <row r="10" spans="1:20">
      <c r="A10" s="29">
        <v>100</v>
      </c>
      <c r="B10" s="7">
        <f t="shared" si="1"/>
        <v>347</v>
      </c>
      <c r="C10" s="31">
        <f>B10/100*10^7/3600/1000*(1+E$49)/100*C$18</f>
        <v>19.663333333333334</v>
      </c>
      <c r="D10" s="7">
        <f t="shared" si="3"/>
        <v>137</v>
      </c>
      <c r="E10" s="31">
        <f>D10/100*10^7/3600/1000*(1+E$49)/100*C$18</f>
        <v>7.7633333333333345</v>
      </c>
      <c r="F10" s="31">
        <f t="shared" si="5"/>
        <v>0</v>
      </c>
      <c r="G10" s="63">
        <v>0.9</v>
      </c>
      <c r="H10" s="31">
        <f t="shared" si="6"/>
        <v>0.4</v>
      </c>
      <c r="I10" s="8">
        <f t="shared" si="7"/>
        <v>2</v>
      </c>
      <c r="J10" s="9">
        <f t="shared" si="8"/>
        <v>30.874074074074073</v>
      </c>
      <c r="K10" s="10">
        <f t="shared" si="12"/>
        <v>0.88211640211640208</v>
      </c>
      <c r="L10" s="11">
        <f>IF(J10&gt;33,1000000,$I10+K10)</f>
        <v>2.8821164021164023</v>
      </c>
      <c r="M10" s="10">
        <f t="shared" si="13"/>
        <v>1.5437037037037036</v>
      </c>
      <c r="N10" s="11">
        <f t="shared" si="9"/>
        <v>3.5437037037037036</v>
      </c>
      <c r="O10" s="10">
        <f t="shared" si="10"/>
        <v>3.4304526748971194</v>
      </c>
      <c r="P10" s="11">
        <f t="shared" si="11"/>
        <v>5.4304526748971194</v>
      </c>
      <c r="R10" s="1"/>
      <c r="T10" s="2"/>
    </row>
    <row r="11" spans="1:20">
      <c r="A11" s="29">
        <v>110</v>
      </c>
      <c r="B11" s="7">
        <f t="shared" si="1"/>
        <v>420</v>
      </c>
      <c r="C11" s="31">
        <f t="shared" si="2"/>
        <v>23.8</v>
      </c>
      <c r="D11" s="7">
        <f t="shared" si="3"/>
        <v>137</v>
      </c>
      <c r="E11" s="31">
        <f t="shared" ref="E11:E14" si="14">D11/100*10^7/3600/1000*(1+E$49)/100*C$18</f>
        <v>7.7633333333333345</v>
      </c>
      <c r="F11" s="31">
        <f t="shared" si="5"/>
        <v>0</v>
      </c>
      <c r="G11" s="63">
        <v>0.86</v>
      </c>
      <c r="H11" s="31">
        <f t="shared" si="6"/>
        <v>0.36363636363636365</v>
      </c>
      <c r="I11" s="8">
        <f t="shared" si="7"/>
        <v>1.8181818181818181</v>
      </c>
      <c r="J11" s="9">
        <f t="shared" si="8"/>
        <v>37.06518675123327</v>
      </c>
      <c r="K11" s="10">
        <f t="shared" si="12"/>
        <v>1.0590053357495219</v>
      </c>
      <c r="L11" s="11">
        <f t="shared" ref="L11:L14" si="15">IF(J11&gt;33,1000000,$I11+K11)</f>
        <v>1000000</v>
      </c>
      <c r="M11" s="10">
        <f t="shared" si="13"/>
        <v>1.8532593375616635</v>
      </c>
      <c r="N11" s="11">
        <f t="shared" si="9"/>
        <v>1000000</v>
      </c>
      <c r="O11" s="10">
        <f t="shared" si="10"/>
        <v>4.1183540834703631</v>
      </c>
      <c r="P11" s="11">
        <f t="shared" si="11"/>
        <v>1000000</v>
      </c>
      <c r="R11" s="1"/>
      <c r="T11" s="2"/>
    </row>
    <row r="12" spans="1:20">
      <c r="A12" s="29">
        <v>120</v>
      </c>
      <c r="B12" s="7">
        <f t="shared" si="1"/>
        <v>500</v>
      </c>
      <c r="C12" s="31">
        <f t="shared" si="2"/>
        <v>28.333333333333339</v>
      </c>
      <c r="D12" s="7">
        <f t="shared" si="3"/>
        <v>137</v>
      </c>
      <c r="E12" s="31">
        <f t="shared" si="14"/>
        <v>7.7633333333333345</v>
      </c>
      <c r="F12" s="31">
        <f t="shared" si="5"/>
        <v>0</v>
      </c>
      <c r="G12" s="63">
        <v>0.82</v>
      </c>
      <c r="H12" s="31">
        <f t="shared" si="6"/>
        <v>0.33333333333333337</v>
      </c>
      <c r="I12" s="8">
        <f t="shared" si="7"/>
        <v>1.6666666666666667</v>
      </c>
      <c r="J12" s="9">
        <f t="shared" si="8"/>
        <v>44.353658536585378</v>
      </c>
      <c r="K12" s="10">
        <f t="shared" si="12"/>
        <v>1.2672473867595822</v>
      </c>
      <c r="L12" s="11">
        <f t="shared" si="15"/>
        <v>1000000</v>
      </c>
      <c r="M12" s="10">
        <f t="shared" si="13"/>
        <v>2.2176829268292688</v>
      </c>
      <c r="N12" s="11">
        <f t="shared" si="9"/>
        <v>1000000</v>
      </c>
      <c r="O12" s="10">
        <f t="shared" si="10"/>
        <v>4.9281842818428201</v>
      </c>
      <c r="P12" s="11">
        <f t="shared" si="11"/>
        <v>1000000</v>
      </c>
      <c r="R12" s="1"/>
      <c r="T12" s="2"/>
    </row>
    <row r="13" spans="1:20" ht="15.75" thickBot="1">
      <c r="A13" s="34">
        <v>135</v>
      </c>
      <c r="B13" s="7">
        <f>ROUND(0.5*E$35*E$36*(A13+C$29)^2*E$38/10000*10^10/(12.96*10^6),0)</f>
        <v>632</v>
      </c>
      <c r="C13" s="31">
        <f t="shared" si="2"/>
        <v>35.813333333333333</v>
      </c>
      <c r="D13" s="7">
        <f t="shared" si="3"/>
        <v>137</v>
      </c>
      <c r="E13" s="31">
        <f t="shared" si="14"/>
        <v>7.7633333333333345</v>
      </c>
      <c r="F13" s="31">
        <f t="shared" si="5"/>
        <v>0</v>
      </c>
      <c r="G13" s="63">
        <v>0.75</v>
      </c>
      <c r="H13" s="31">
        <f t="shared" si="6"/>
        <v>0.29629629629629628</v>
      </c>
      <c r="I13" s="8">
        <f t="shared" si="7"/>
        <v>1.4814814814814814</v>
      </c>
      <c r="J13" s="9">
        <f t="shared" si="8"/>
        <v>58.398518518518522</v>
      </c>
      <c r="K13" s="10">
        <f t="shared" si="12"/>
        <v>1.6685291005291005</v>
      </c>
      <c r="L13" s="11">
        <f t="shared" si="15"/>
        <v>1000000</v>
      </c>
      <c r="M13" s="10">
        <f>$J13/(M$4-2)</f>
        <v>2.9199259259259263</v>
      </c>
      <c r="N13" s="11">
        <f t="shared" si="9"/>
        <v>1000000</v>
      </c>
      <c r="O13" s="10">
        <f t="shared" si="10"/>
        <v>6.4887242798353917</v>
      </c>
      <c r="P13" s="11">
        <f t="shared" si="11"/>
        <v>1000000</v>
      </c>
      <c r="R13" s="1"/>
      <c r="T13" s="2"/>
    </row>
    <row r="14" spans="1:20" ht="15.75" thickBot="1">
      <c r="A14" s="55">
        <v>96</v>
      </c>
      <c r="B14" s="35">
        <f t="shared" si="1"/>
        <v>320</v>
      </c>
      <c r="C14" s="37">
        <f t="shared" si="2"/>
        <v>18.133333333333333</v>
      </c>
      <c r="D14" s="36">
        <f t="shared" si="3"/>
        <v>137</v>
      </c>
      <c r="E14" s="37">
        <f t="shared" si="14"/>
        <v>7.7633333333333345</v>
      </c>
      <c r="F14" s="37">
        <f t="shared" si="5"/>
        <v>0</v>
      </c>
      <c r="G14" s="64">
        <v>0.95</v>
      </c>
      <c r="H14" s="37">
        <f t="shared" si="6"/>
        <v>0.41666666666666674</v>
      </c>
      <c r="I14" s="38">
        <f t="shared" si="7"/>
        <v>2.0833333333333335</v>
      </c>
      <c r="J14" s="39">
        <f t="shared" si="8"/>
        <v>27.676315789473687</v>
      </c>
      <c r="K14" s="40">
        <f t="shared" si="12"/>
        <v>0.79075187969924821</v>
      </c>
      <c r="L14" s="11">
        <f t="shared" si="15"/>
        <v>2.8740852130325818</v>
      </c>
      <c r="M14" s="40">
        <f t="shared" si="13"/>
        <v>1.3838157894736844</v>
      </c>
      <c r="N14" s="41">
        <f t="shared" si="9"/>
        <v>3.4671491228070179</v>
      </c>
      <c r="O14" s="40">
        <f t="shared" si="10"/>
        <v>3.0751461988304096</v>
      </c>
      <c r="P14" s="41">
        <f t="shared" si="11"/>
        <v>5.1584795321637431</v>
      </c>
      <c r="R14" s="1"/>
      <c r="T14" s="2"/>
    </row>
    <row r="15" spans="1:20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4" t="s">
        <v>40</v>
      </c>
      <c r="B18" s="4"/>
      <c r="C18" s="56">
        <v>200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4" t="s">
        <v>2</v>
      </c>
      <c r="B21" s="4"/>
      <c r="C21" s="58">
        <v>0.2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4" t="s">
        <v>27</v>
      </c>
      <c r="B27" s="4"/>
      <c r="C27" s="61">
        <v>8.9999999999999993E-3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4" t="s">
        <v>12</v>
      </c>
      <c r="B36" s="4" t="s">
        <v>13</v>
      </c>
      <c r="C36" s="4"/>
      <c r="D36" s="4"/>
      <c r="E36" s="65">
        <v>1.204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>
      <c r="A45" s="4" t="s">
        <v>25</v>
      </c>
      <c r="B45" s="4" t="s">
        <v>26</v>
      </c>
      <c r="C45" s="4"/>
      <c r="D45" s="4"/>
      <c r="E45" s="32">
        <f>C27</f>
        <v>8.9999999999999993E-3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4" t="s">
        <v>50</v>
      </c>
      <c r="B49" s="4"/>
      <c r="C49" s="4"/>
      <c r="D49" s="4"/>
      <c r="E49" s="66">
        <v>0.02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4" t="s">
        <v>80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7" priority="7" operator="greaterThan">
      <formula>31</formula>
    </cfRule>
  </conditionalFormatting>
  <conditionalFormatting sqref="J5:J14">
    <cfRule type="cellIs" dxfId="6" priority="8" operator="greaterThan">
      <formula>41</formula>
    </cfRule>
  </conditionalFormatting>
  <conditionalFormatting sqref="L5:L14">
    <cfRule type="top10" dxfId="5" priority="5" bottom="1" rank="1"/>
    <cfRule type="top10" dxfId="4" priority="6" bottom="1" rank="3"/>
  </conditionalFormatting>
  <conditionalFormatting sqref="N5:N14">
    <cfRule type="top10" dxfId="3" priority="3" bottom="1" rank="1"/>
    <cfRule type="top10" dxfId="2" priority="4" bottom="1" rank="3"/>
  </conditionalFormatting>
  <conditionalFormatting sqref="P5:P14">
    <cfRule type="top10" dxfId="1" priority="1" bottom="1" rank="1"/>
    <cfRule type="top10" dxfId="0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Zoe Verbrauch Winter 0°</vt:lpstr>
      <vt:lpstr>Zoe Verbrauch Sommer 20°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2016-09-16T16:12:51Z</cp:lastPrinted>
  <dcterms:created xsi:type="dcterms:W3CDTF">2015-07-18T08:07:43Z</dcterms:created>
  <dcterms:modified xsi:type="dcterms:W3CDTF">2018-02-20T23:17:38Z</dcterms:modified>
</cp:coreProperties>
</file>